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Ginnie Mae Buyout Analysis" sheetId="2" r:id="rId1"/>
    <sheet name="Disclaimer" sheetId="3"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2" l="1"/>
  <c r="F13" i="2" l="1"/>
  <c r="B28" i="2" l="1"/>
  <c r="N8" i="2"/>
  <c r="D17" i="2"/>
  <c r="E17" i="2"/>
  <c r="F17" i="2"/>
  <c r="G17" i="2"/>
  <c r="H17" i="2"/>
  <c r="I17" i="2"/>
  <c r="J17" i="2"/>
  <c r="K17" i="2"/>
  <c r="L17" i="2"/>
  <c r="M17" i="2"/>
  <c r="D18" i="2"/>
  <c r="E18" i="2"/>
  <c r="F18" i="2"/>
  <c r="G18" i="2"/>
  <c r="H18" i="2"/>
  <c r="I18" i="2"/>
  <c r="J18" i="2"/>
  <c r="K18" i="2"/>
  <c r="L18" i="2"/>
  <c r="M18" i="2"/>
  <c r="C18" i="2"/>
  <c r="C17" i="2"/>
  <c r="B19" i="2"/>
  <c r="D20" i="2"/>
  <c r="E20" i="2"/>
  <c r="F20" i="2"/>
  <c r="G20" i="2"/>
  <c r="H20" i="2"/>
  <c r="I20" i="2"/>
  <c r="J20" i="2"/>
  <c r="K20" i="2"/>
  <c r="L20" i="2"/>
  <c r="M20" i="2"/>
  <c r="C20" i="2"/>
  <c r="D9" i="2"/>
  <c r="E9" i="2"/>
  <c r="F9" i="2"/>
  <c r="F25" i="2" s="1"/>
  <c r="G9" i="2"/>
  <c r="H9" i="2"/>
  <c r="I9" i="2"/>
  <c r="J9" i="2"/>
  <c r="K9" i="2"/>
  <c r="L9" i="2"/>
  <c r="M9" i="2"/>
  <c r="C9" i="2"/>
  <c r="C28" i="2" s="1"/>
  <c r="D12" i="2"/>
  <c r="E12" i="2"/>
  <c r="F12" i="2"/>
  <c r="G12" i="2"/>
  <c r="H12" i="2"/>
  <c r="I12" i="2"/>
  <c r="J12" i="2"/>
  <c r="K12" i="2"/>
  <c r="L12" i="2"/>
  <c r="M12" i="2"/>
  <c r="C12" i="2"/>
  <c r="D11" i="2"/>
  <c r="D22" i="2" s="1"/>
  <c r="E11" i="2"/>
  <c r="F11" i="2"/>
  <c r="F22" i="2" s="1"/>
  <c r="G11" i="2"/>
  <c r="H11" i="2"/>
  <c r="H22" i="2" s="1"/>
  <c r="I11" i="2"/>
  <c r="J11" i="2"/>
  <c r="K11" i="2"/>
  <c r="L11" i="2"/>
  <c r="L22" i="2" s="1"/>
  <c r="M11" i="2"/>
  <c r="C11" i="2"/>
  <c r="D16" i="2"/>
  <c r="D26" i="2" s="1"/>
  <c r="E16" i="2"/>
  <c r="E26" i="2" s="1"/>
  <c r="F16" i="2"/>
  <c r="G16" i="2"/>
  <c r="H16" i="2"/>
  <c r="I16" i="2"/>
  <c r="J16" i="2"/>
  <c r="K16" i="2"/>
  <c r="L16" i="2"/>
  <c r="L26" i="2" s="1"/>
  <c r="M16" i="2"/>
  <c r="M26" i="2" s="1"/>
  <c r="C16" i="2"/>
  <c r="D15" i="2"/>
  <c r="E15" i="2"/>
  <c r="F15" i="2"/>
  <c r="G15" i="2"/>
  <c r="H15" i="2"/>
  <c r="I15" i="2"/>
  <c r="J15" i="2"/>
  <c r="K15" i="2"/>
  <c r="L15" i="2"/>
  <c r="M15" i="2"/>
  <c r="C15" i="2"/>
  <c r="D14" i="2"/>
  <c r="E14" i="2"/>
  <c r="F14" i="2"/>
  <c r="F30" i="2" s="1"/>
  <c r="G14" i="2"/>
  <c r="H14" i="2"/>
  <c r="I14" i="2"/>
  <c r="J14" i="2"/>
  <c r="K14" i="2"/>
  <c r="L14" i="2"/>
  <c r="M14" i="2"/>
  <c r="C14" i="2"/>
  <c r="C30" i="2" s="1"/>
  <c r="D13" i="2"/>
  <c r="E13" i="2"/>
  <c r="G13" i="2"/>
  <c r="H13" i="2"/>
  <c r="I13" i="2"/>
  <c r="J13" i="2"/>
  <c r="K13" i="2"/>
  <c r="L13" i="2"/>
  <c r="M13" i="2"/>
  <c r="C13" i="2"/>
  <c r="J22" i="2"/>
  <c r="B30" i="2"/>
  <c r="B26" i="2"/>
  <c r="B25" i="2"/>
  <c r="B24" i="2"/>
  <c r="B23" i="2"/>
  <c r="B22" i="2"/>
  <c r="N18" i="2" l="1"/>
  <c r="I30" i="2"/>
  <c r="L30" i="2"/>
  <c r="K28" i="2"/>
  <c r="J28" i="2"/>
  <c r="M30" i="2"/>
  <c r="E30" i="2"/>
  <c r="E22" i="2"/>
  <c r="G30" i="2"/>
  <c r="N11" i="2"/>
  <c r="N15" i="2"/>
  <c r="D30" i="2"/>
  <c r="N12" i="2"/>
  <c r="N17" i="2"/>
  <c r="C22" i="2"/>
  <c r="M25" i="2"/>
  <c r="E28" i="2"/>
  <c r="L28" i="2"/>
  <c r="D28" i="2"/>
  <c r="M22" i="2"/>
  <c r="I28" i="2"/>
  <c r="N14" i="2"/>
  <c r="N20" i="2"/>
  <c r="E19" i="2"/>
  <c r="E27" i="2" s="1"/>
  <c r="B27" i="2"/>
  <c r="H28" i="2"/>
  <c r="C26" i="2"/>
  <c r="F26" i="2"/>
  <c r="G28" i="2"/>
  <c r="G19" i="2"/>
  <c r="G27" i="2" s="1"/>
  <c r="D19" i="2"/>
  <c r="D27" i="2" s="1"/>
  <c r="C19" i="2"/>
  <c r="C27" i="2" s="1"/>
  <c r="L19" i="2"/>
  <c r="L27" i="2" s="1"/>
  <c r="K19" i="2"/>
  <c r="K27" i="2" s="1"/>
  <c r="J19" i="2"/>
  <c r="J27" i="2" s="1"/>
  <c r="N16" i="2"/>
  <c r="C24" i="2"/>
  <c r="G24" i="2"/>
  <c r="G25" i="2"/>
  <c r="E25" i="2"/>
  <c r="C25" i="2"/>
  <c r="J25" i="2"/>
  <c r="E24" i="2"/>
  <c r="M24" i="2"/>
  <c r="L24" i="2"/>
  <c r="L25" i="2"/>
  <c r="J24" i="2"/>
  <c r="F28" i="2"/>
  <c r="N9" i="2"/>
  <c r="D24" i="2"/>
  <c r="M28" i="2"/>
  <c r="D25" i="2"/>
  <c r="N13" i="2"/>
  <c r="J23" i="2"/>
  <c r="I19" i="2"/>
  <c r="I27" i="2" s="1"/>
  <c r="H19" i="2"/>
  <c r="H27" i="2" s="1"/>
  <c r="F19" i="2"/>
  <c r="F27" i="2" s="1"/>
  <c r="M19" i="2"/>
  <c r="M27" i="2" s="1"/>
  <c r="F23" i="2"/>
  <c r="F24" i="2"/>
  <c r="M23" i="2"/>
  <c r="E23" i="2"/>
  <c r="L23" i="2"/>
  <c r="D23" i="2"/>
  <c r="I24" i="2"/>
  <c r="H25" i="2"/>
  <c r="K25" i="2"/>
  <c r="I25" i="2"/>
  <c r="H26" i="2"/>
  <c r="G26" i="2"/>
  <c r="I26" i="2"/>
  <c r="H30" i="2"/>
  <c r="K24" i="2"/>
  <c r="H24" i="2"/>
  <c r="G22" i="2"/>
  <c r="I22" i="2"/>
  <c r="K22" i="2"/>
  <c r="K26" i="2"/>
  <c r="G23" i="2"/>
  <c r="I23" i="2"/>
  <c r="K30" i="2"/>
  <c r="J26" i="2"/>
  <c r="H23" i="2"/>
  <c r="J30" i="2"/>
  <c r="K23" i="2"/>
  <c r="C23" i="2"/>
  <c r="N22" i="2" l="1"/>
  <c r="N27" i="2"/>
  <c r="N30" i="2"/>
  <c r="N19" i="2"/>
  <c r="B29" i="2"/>
  <c r="B31" i="2" s="1"/>
  <c r="N26" i="2"/>
  <c r="G29" i="2"/>
  <c r="G31" i="2" s="1"/>
  <c r="C29" i="2"/>
  <c r="C31" i="2" s="1"/>
  <c r="E29" i="2"/>
  <c r="E31" i="2" s="1"/>
  <c r="J29" i="2"/>
  <c r="J31" i="2" s="1"/>
  <c r="N28" i="2"/>
  <c r="K29" i="2"/>
  <c r="K31" i="2" s="1"/>
  <c r="N24" i="2"/>
  <c r="L29" i="2"/>
  <c r="L31" i="2" s="1"/>
  <c r="D29" i="2"/>
  <c r="D31" i="2" s="1"/>
  <c r="N25" i="2"/>
  <c r="M29" i="2"/>
  <c r="M31" i="2" s="1"/>
  <c r="F29" i="2"/>
  <c r="F31" i="2" s="1"/>
  <c r="H29" i="2"/>
  <c r="H31" i="2" s="1"/>
  <c r="I29" i="2"/>
  <c r="I31" i="2" s="1"/>
  <c r="N23" i="2"/>
  <c r="N29" i="2" l="1"/>
  <c r="N31" i="2"/>
</calcChain>
</file>

<file path=xl/sharedStrings.xml><?xml version="1.0" encoding="utf-8"?>
<sst xmlns="http://schemas.openxmlformats.org/spreadsheetml/2006/main" count="27" uniqueCount="25">
  <si>
    <t>Repurchase</t>
  </si>
  <si>
    <t>Advance Rate</t>
  </si>
  <si>
    <t>WAC</t>
  </si>
  <si>
    <t>Purchase Px</t>
  </si>
  <si>
    <t>Ann'd COFunds</t>
  </si>
  <si>
    <t>Ann'd COHedges</t>
  </si>
  <si>
    <t>Pool execution</t>
  </si>
  <si>
    <t>Finance</t>
  </si>
  <si>
    <t>Hedge</t>
  </si>
  <si>
    <t>Sale proceeds</t>
  </si>
  <si>
    <t>Net P&amp;L</t>
  </si>
  <si>
    <t>EQUITY</t>
  </si>
  <si>
    <t>Fees and expenses</t>
  </si>
  <si>
    <t>Severity</t>
  </si>
  <si>
    <t>Loss</t>
  </si>
  <si>
    <t>Losses</t>
  </si>
  <si>
    <t>WAVG</t>
  </si>
  <si>
    <t>ANNUALIZED ROE</t>
  </si>
  <si>
    <t>Time to cure (Mos)</t>
  </si>
  <si>
    <t>Add'l time to pool (Mos)</t>
  </si>
  <si>
    <t>Pct Loans fail to cure</t>
  </si>
  <si>
    <t>P&amp;L</t>
  </si>
  <si>
    <t>Interest income cure-to-pool</t>
  </si>
  <si>
    <t>Pct of pool at each cure point</t>
  </si>
  <si>
    <t>Loan cure scenarios: Time to cure and time to pool after initial 3-months of forbearance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</si>
</sst>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_(&quot;$&quot;* #,##0_);_(&quot;$&quot;* \(#,##0\);_(&quot;$&quot;* &quot;-&quot;??_);_(@_)"/>
    <numFmt numFmtId="166" formatCode="[$-F800]dddd\,\ mmmm\ dd\,\ yyyy"/>
  </numFmts>
  <fonts count="5"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i/>
      <sz val="10"/>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2" fillId="0" borderId="0" xfId="0" applyFont="1"/>
    <xf numFmtId="0" fontId="2" fillId="0" borderId="1" xfId="0" applyFont="1" applyBorder="1" applyAlignment="1">
      <alignment horizontal="right"/>
    </xf>
    <xf numFmtId="0" fontId="2" fillId="0" borderId="7" xfId="0" applyFont="1" applyBorder="1"/>
    <xf numFmtId="0" fontId="3" fillId="2" borderId="8" xfId="0" applyFont="1" applyFill="1" applyBorder="1"/>
    <xf numFmtId="44" fontId="2" fillId="3" borderId="9" xfId="1" applyFont="1" applyFill="1" applyBorder="1"/>
    <xf numFmtId="0" fontId="2" fillId="0" borderId="10" xfId="0" applyFont="1" applyBorder="1"/>
    <xf numFmtId="0" fontId="2" fillId="2" borderId="0" xfId="0" applyFont="1" applyFill="1" applyBorder="1"/>
    <xf numFmtId="0" fontId="2" fillId="0" borderId="0" xfId="0" applyFont="1" applyFill="1" applyBorder="1"/>
    <xf numFmtId="44" fontId="2" fillId="3" borderId="11" xfId="1" applyFont="1" applyFill="1" applyBorder="1"/>
    <xf numFmtId="0" fontId="2" fillId="0" borderId="12" xfId="0" applyFont="1" applyBorder="1"/>
    <xf numFmtId="164" fontId="2" fillId="2" borderId="6" xfId="0" applyNumberFormat="1" applyFont="1" applyFill="1" applyBorder="1"/>
    <xf numFmtId="164" fontId="2" fillId="3" borderId="5" xfId="0" applyNumberFormat="1" applyFont="1" applyFill="1" applyBorder="1"/>
    <xf numFmtId="10" fontId="2" fillId="2" borderId="6" xfId="0" applyNumberFormat="1" applyFont="1" applyFill="1" applyBorder="1"/>
    <xf numFmtId="10" fontId="2" fillId="0" borderId="6" xfId="0" applyNumberFormat="1" applyFont="1" applyFill="1" applyBorder="1"/>
    <xf numFmtId="10" fontId="2" fillId="3" borderId="5" xfId="2" applyNumberFormat="1" applyFont="1" applyFill="1" applyBorder="1"/>
    <xf numFmtId="10" fontId="2" fillId="2" borderId="8" xfId="0" applyNumberFormat="1" applyFont="1" applyFill="1" applyBorder="1"/>
    <xf numFmtId="10" fontId="2" fillId="0" borderId="8" xfId="0" applyNumberFormat="1" applyFont="1" applyFill="1" applyBorder="1"/>
    <xf numFmtId="10" fontId="2" fillId="3" borderId="9" xfId="2" applyNumberFormat="1" applyFont="1" applyFill="1" applyBorder="1"/>
    <xf numFmtId="9" fontId="2" fillId="2" borderId="6" xfId="0" applyNumberFormat="1" applyFont="1" applyFill="1" applyBorder="1"/>
    <xf numFmtId="9" fontId="2" fillId="0" borderId="6" xfId="0" applyNumberFormat="1" applyFont="1" applyFill="1" applyBorder="1"/>
    <xf numFmtId="0" fontId="2" fillId="0" borderId="2" xfId="0" applyFont="1" applyBorder="1"/>
    <xf numFmtId="10" fontId="2" fillId="2" borderId="3" xfId="2" applyNumberFormat="1" applyFont="1" applyFill="1" applyBorder="1"/>
    <xf numFmtId="10" fontId="2" fillId="0" borderId="3" xfId="0" applyNumberFormat="1" applyFont="1" applyFill="1" applyBorder="1"/>
    <xf numFmtId="10" fontId="2" fillId="3" borderId="4" xfId="2" applyNumberFormat="1" applyFont="1" applyFill="1" applyBorder="1"/>
    <xf numFmtId="44" fontId="2" fillId="3" borderId="4" xfId="1" applyFont="1" applyFill="1" applyBorder="1"/>
    <xf numFmtId="9" fontId="2" fillId="2" borderId="8" xfId="0" applyNumberFormat="1" applyFont="1" applyFill="1" applyBorder="1"/>
    <xf numFmtId="9" fontId="2" fillId="0" borderId="8" xfId="0" applyNumberFormat="1" applyFont="1" applyFill="1" applyBorder="1"/>
    <xf numFmtId="9" fontId="2" fillId="2" borderId="0" xfId="0" applyNumberFormat="1" applyFont="1" applyFill="1" applyBorder="1"/>
    <xf numFmtId="9" fontId="2" fillId="0" borderId="0" xfId="0" applyNumberFormat="1" applyFont="1" applyFill="1" applyBorder="1"/>
    <xf numFmtId="44" fontId="2" fillId="3" borderId="5" xfId="1" applyFont="1" applyFill="1" applyBorder="1"/>
    <xf numFmtId="10" fontId="2" fillId="2" borderId="3" xfId="0" applyNumberFormat="1" applyFont="1" applyFill="1" applyBorder="1"/>
    <xf numFmtId="0" fontId="2" fillId="3" borderId="1" xfId="0" applyFont="1" applyFill="1" applyBorder="1" applyAlignment="1">
      <alignment horizontal="right"/>
    </xf>
    <xf numFmtId="44" fontId="2" fillId="0" borderId="0" xfId="0" applyNumberFormat="1" applyFont="1" applyBorder="1"/>
    <xf numFmtId="44" fontId="2" fillId="0" borderId="0" xfId="1" applyFont="1" applyBorder="1"/>
    <xf numFmtId="44" fontId="2" fillId="0" borderId="6" xfId="1" applyFont="1" applyBorder="1"/>
    <xf numFmtId="44" fontId="2" fillId="0" borderId="8" xfId="0" applyNumberFormat="1" applyFont="1" applyBorder="1"/>
    <xf numFmtId="9" fontId="2" fillId="0" borderId="6" xfId="2" applyFont="1" applyBorder="1"/>
    <xf numFmtId="9" fontId="2" fillId="3" borderId="13" xfId="2" applyFont="1" applyFill="1" applyBorder="1"/>
    <xf numFmtId="2" fontId="2" fillId="3" borderId="9" xfId="1" applyNumberFormat="1" applyFont="1" applyFill="1" applyBorder="1"/>
    <xf numFmtId="9" fontId="2" fillId="3" borderId="9" xfId="2" applyFont="1" applyFill="1" applyBorder="1"/>
    <xf numFmtId="165" fontId="2" fillId="3" borderId="9" xfId="1" applyNumberFormat="1" applyFont="1" applyFill="1" applyBorder="1"/>
    <xf numFmtId="165" fontId="2" fillId="0" borderId="8" xfId="1" applyNumberFormat="1" applyFont="1" applyBorder="1"/>
    <xf numFmtId="165" fontId="2" fillId="0" borderId="0" xfId="1" applyNumberFormat="1" applyFont="1" applyBorder="1"/>
    <xf numFmtId="165" fontId="2" fillId="3" borderId="11" xfId="1" applyNumberFormat="1" applyFont="1" applyFill="1" applyBorder="1"/>
    <xf numFmtId="166" fontId="4" fillId="0" borderId="0" xfId="0" applyNumberFormat="1" applyFont="1" applyAlignment="1">
      <alignment horizontal="left"/>
    </xf>
    <xf numFmtId="44" fontId="2" fillId="2" borderId="3" xfId="1" applyFont="1" applyFill="1" applyBorder="1"/>
    <xf numFmtId="44" fontId="2" fillId="0" borderId="3" xfId="1" applyFont="1" applyFill="1" applyBorder="1"/>
    <xf numFmtId="44" fontId="2" fillId="2" borderId="8" xfId="1" applyFont="1" applyFill="1" applyBorder="1"/>
    <xf numFmtId="44" fontId="2" fillId="0" borderId="8" xfId="1" applyFont="1" applyFill="1" applyBorder="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e4d459.GIF@3cda8a8f.45824150"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867833</xdr:colOff>
      <xdr:row>4</xdr:row>
      <xdr:rowOff>76200</xdr:rowOff>
    </xdr:to>
    <xdr:pic>
      <xdr:nvPicPr>
        <xdr:cNvPr id="4" name="Picture 3" descr="cid:imagee4d459.GIF@3cda8a8f.4582415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867833" cy="793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19050</xdr:rowOff>
    </xdr:from>
    <xdr:to>
      <xdr:col>17</xdr:col>
      <xdr:colOff>19050</xdr:colOff>
      <xdr:row>34</xdr:row>
      <xdr:rowOff>9525</xdr:rowOff>
    </xdr:to>
    <xdr:sp macro="" textlink="">
      <xdr:nvSpPr>
        <xdr:cNvPr id="2" name="TextBox 1"/>
        <xdr:cNvSpPr txBox="1"/>
      </xdr:nvSpPr>
      <xdr:spPr>
        <a:xfrm>
          <a:off x="9525" y="19050"/>
          <a:ext cx="10372725" cy="646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IMPORTANT DISCLAIMERS</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Copyright ©2020 </a:t>
          </a:r>
          <a:r>
            <a:rPr lang="en-US" sz="1100" i="1">
              <a:solidFill>
                <a:schemeClr val="dk1"/>
              </a:solidFill>
              <a:effectLst/>
              <a:latin typeface="+mn-lt"/>
              <a:ea typeface="+mn-ea"/>
              <a:cs typeface="+mn-cs"/>
            </a:rPr>
            <a:t>Amherst Pierpont Securities LLC </a:t>
          </a:r>
          <a:r>
            <a:rPr lang="en-GB" sz="1100" i="1">
              <a:solidFill>
                <a:schemeClr val="dk1"/>
              </a:solidFill>
              <a:effectLst/>
              <a:latin typeface="+mn-lt"/>
              <a:ea typeface="+mn-ea"/>
              <a:cs typeface="+mn-cs"/>
            </a:rPr>
            <a:t>and its affiliates (“Amherst Pierpont”).    All rights reserved. Amherst Pierpont Securities LLC is a member of FINRA and SIPC.  This material is intended for limited distribution to institutions only and is not publicly available.  Any unauthorized use or disclosure is prohibited.</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In making this material available, Amherst Pierpont (i) is not providing any advice to the recipient, including, without limitation, any advice as to investment, legal, accounting, tax and financial matters, (ii) is not acting as an advisor or fiduciary in respect of the recipient, (iii) is not making any predictions or projections and (iv) intends that any recipient to which Amherst Pierpont has provided this material is an “institutional investor” (as defined under applicable law and regulation, including FINRA Rule 4512 and that this material will not be disseminated, in whole or part, to any third party by the recipient.</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The author of this material is an economist, desk strategist or trader.  In the preparation of this material, the author may have consulted or otherwise discussed the matters referenced herein with one or more of Amherst Pierpont’s trading desks, any of which may have accumulated or otherwise taken a position, long or short, in any of the financial instruments discussed in or related to this material. Further, Amherst Pierpont or any of its affiliates may act as a market maker or principal dealer, and may have proprietary interests that differ or conflict with the recipient hereof, in connection with any financial instrument discussed in or related to this material. </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This material (i) has been prepared for information purposes only and does not constitute a solicitation or an offer to buy or sell any securities, related investments or other financial instruments, (ii) is neither research, a “research report” as commonly understood under the securities laws and regulations promulgated thereunder nor the product of a research department, (iii) or parts thereof may have been obtained from various sources, the reliability of which has not been verified and cannot be guaranteed by Amherst Pierpont, (iv) should not be reproduced or disclosed to any other person, without Amherst Pierpont’s prior consent and (v) is not intended for distribution in any jurisdiction in which its distribution would be prohibited.</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In connection with this material, Amherst Pierpont (i) makes no representation or warranties as to the appropriateness or reliance for use in any transaction or as to the permissibility or legality of any financial instrument in any jurisdiction, (ii) believes the information in this material to be reliable, has not independently verified such information and makes no representation, express or implied, with regard to the accuracy or completeness of such information, (iii) accepts no responsibility or liability as to any reliance placed, or investment decision made, on the basis of such information by the recipient and (iv) does not undertake, and disclaims any duty to undertake, to update or to revise the information contained in this material.</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Unless otherwise stated, the views, opinions, forecasts, valuations, or estimates contained in this material are those solely of the author, as of the date of publication of this material, and are subject to change without notice.  The recipient of this material should make an independent evaluation of this information and make such other investigations as the recipient considers necessary (including obtaining independent financial advice), before transacting in any financial market or instrument discussed in or related to this material.</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1"/>
  <sheetViews>
    <sheetView showGridLines="0" tabSelected="1" topLeftCell="A4" zoomScaleNormal="100" workbookViewId="0">
      <selection activeCell="B17" sqref="B17"/>
    </sheetView>
  </sheetViews>
  <sheetFormatPr defaultRowHeight="12.75" x14ac:dyDescent="0.2"/>
  <cols>
    <col min="1" max="1" width="30.28515625" style="1" customWidth="1"/>
    <col min="2" max="14" width="10.5703125" style="1" bestFit="1" customWidth="1"/>
    <col min="15" max="16384" width="9.140625" style="1"/>
  </cols>
  <sheetData>
    <row r="2" spans="1:14" ht="15" x14ac:dyDescent="0.25">
      <c r="E2"/>
      <c r="F2"/>
      <c r="G2"/>
      <c r="H2"/>
      <c r="I2"/>
      <c r="J2"/>
      <c r="K2"/>
      <c r="L2"/>
      <c r="M2"/>
    </row>
    <row r="3" spans="1:14" ht="15" x14ac:dyDescent="0.25">
      <c r="E3"/>
      <c r="F3"/>
      <c r="G3"/>
      <c r="H3"/>
      <c r="I3"/>
      <c r="J3"/>
      <c r="K3"/>
      <c r="L3"/>
      <c r="M3"/>
    </row>
    <row r="4" spans="1:14" ht="15" x14ac:dyDescent="0.25">
      <c r="E4"/>
      <c r="F4"/>
      <c r="G4"/>
      <c r="H4"/>
      <c r="I4"/>
      <c r="J4"/>
      <c r="K4"/>
      <c r="L4"/>
      <c r="M4"/>
    </row>
    <row r="6" spans="1:14" x14ac:dyDescent="0.2">
      <c r="A6" s="45">
        <v>44022</v>
      </c>
    </row>
    <row r="7" spans="1:14" x14ac:dyDescent="0.2">
      <c r="B7" s="50" t="s">
        <v>24</v>
      </c>
      <c r="C7" s="51"/>
      <c r="D7" s="51"/>
      <c r="E7" s="51"/>
      <c r="F7" s="51"/>
      <c r="G7" s="51"/>
      <c r="H7" s="51"/>
      <c r="I7" s="51"/>
      <c r="J7" s="51"/>
      <c r="K7" s="51"/>
      <c r="L7" s="51"/>
      <c r="M7" s="52"/>
      <c r="N7" s="2" t="s">
        <v>16</v>
      </c>
    </row>
    <row r="8" spans="1:14" x14ac:dyDescent="0.2">
      <c r="A8" s="3" t="s">
        <v>18</v>
      </c>
      <c r="B8" s="4">
        <v>1</v>
      </c>
      <c r="C8" s="4">
        <v>2</v>
      </c>
      <c r="D8" s="4">
        <v>3</v>
      </c>
      <c r="E8" s="4">
        <v>4</v>
      </c>
      <c r="F8" s="4">
        <v>5</v>
      </c>
      <c r="G8" s="4">
        <v>6</v>
      </c>
      <c r="H8" s="4">
        <v>7</v>
      </c>
      <c r="I8" s="4">
        <v>8</v>
      </c>
      <c r="J8" s="4">
        <v>9</v>
      </c>
      <c r="K8" s="4">
        <v>10</v>
      </c>
      <c r="L8" s="4">
        <v>11</v>
      </c>
      <c r="M8" s="4">
        <v>12</v>
      </c>
      <c r="N8" s="39">
        <f>SUMPRODUCT($B$10:$M$10,B8:M8)</f>
        <v>3.8250000000000006</v>
      </c>
    </row>
    <row r="9" spans="1:14" x14ac:dyDescent="0.2">
      <c r="A9" s="6" t="s">
        <v>19</v>
      </c>
      <c r="B9" s="7">
        <v>0</v>
      </c>
      <c r="C9" s="8">
        <f t="shared" ref="C9:M9" si="0">$B9</f>
        <v>0</v>
      </c>
      <c r="D9" s="8">
        <f t="shared" si="0"/>
        <v>0</v>
      </c>
      <c r="E9" s="8">
        <f t="shared" si="0"/>
        <v>0</v>
      </c>
      <c r="F9" s="8">
        <f t="shared" si="0"/>
        <v>0</v>
      </c>
      <c r="G9" s="8">
        <f t="shared" si="0"/>
        <v>0</v>
      </c>
      <c r="H9" s="8">
        <f t="shared" si="0"/>
        <v>0</v>
      </c>
      <c r="I9" s="8">
        <f t="shared" si="0"/>
        <v>0</v>
      </c>
      <c r="J9" s="8">
        <f t="shared" si="0"/>
        <v>0</v>
      </c>
      <c r="K9" s="8">
        <f t="shared" si="0"/>
        <v>0</v>
      </c>
      <c r="L9" s="8">
        <f t="shared" si="0"/>
        <v>0</v>
      </c>
      <c r="M9" s="8">
        <f t="shared" si="0"/>
        <v>0</v>
      </c>
      <c r="N9" s="9">
        <f>SUMPRODUCT($B$10:$M$10,B9:M9)</f>
        <v>0</v>
      </c>
    </row>
    <row r="10" spans="1:14" x14ac:dyDescent="0.2">
      <c r="A10" s="10" t="s">
        <v>23</v>
      </c>
      <c r="B10" s="11">
        <v>0.1</v>
      </c>
      <c r="C10" s="11">
        <v>0.2</v>
      </c>
      <c r="D10" s="11">
        <v>0.2</v>
      </c>
      <c r="E10" s="11">
        <v>0.15</v>
      </c>
      <c r="F10" s="11">
        <v>0.15</v>
      </c>
      <c r="G10" s="11">
        <v>0.1</v>
      </c>
      <c r="H10" s="11">
        <v>0.05</v>
      </c>
      <c r="I10" s="11">
        <v>2.5000000000000001E-2</v>
      </c>
      <c r="J10" s="11">
        <v>2.5000000000000001E-2</v>
      </c>
      <c r="K10" s="11">
        <v>0</v>
      </c>
      <c r="L10" s="11">
        <v>0</v>
      </c>
      <c r="M10" s="11">
        <v>0</v>
      </c>
      <c r="N10" s="12">
        <f>SUM(B10:M10)</f>
        <v>1</v>
      </c>
    </row>
    <row r="11" spans="1:14" x14ac:dyDescent="0.2">
      <c r="A11" s="3" t="s">
        <v>3</v>
      </c>
      <c r="B11" s="48">
        <v>100</v>
      </c>
      <c r="C11" s="49">
        <f t="shared" ref="C11:C17" si="1">$B11</f>
        <v>100</v>
      </c>
      <c r="D11" s="49">
        <f t="shared" ref="D11:M12" si="2">$B11</f>
        <v>100</v>
      </c>
      <c r="E11" s="49">
        <f t="shared" si="2"/>
        <v>100</v>
      </c>
      <c r="F11" s="49">
        <f t="shared" si="2"/>
        <v>100</v>
      </c>
      <c r="G11" s="49">
        <f t="shared" si="2"/>
        <v>100</v>
      </c>
      <c r="H11" s="49">
        <f t="shared" si="2"/>
        <v>100</v>
      </c>
      <c r="I11" s="49">
        <f t="shared" si="2"/>
        <v>100</v>
      </c>
      <c r="J11" s="49">
        <f t="shared" si="2"/>
        <v>100</v>
      </c>
      <c r="K11" s="49">
        <f t="shared" si="2"/>
        <v>100</v>
      </c>
      <c r="L11" s="49">
        <f t="shared" si="2"/>
        <v>100</v>
      </c>
      <c r="M11" s="49">
        <f t="shared" si="2"/>
        <v>100</v>
      </c>
      <c r="N11" s="5">
        <f t="shared" ref="N11:N20" si="3">SUMPRODUCT($B$10:$M$10,B11:M11)</f>
        <v>100</v>
      </c>
    </row>
    <row r="12" spans="1:14" x14ac:dyDescent="0.2">
      <c r="A12" s="10" t="s">
        <v>2</v>
      </c>
      <c r="B12" s="13">
        <v>4.4999999999999998E-2</v>
      </c>
      <c r="C12" s="14">
        <f t="shared" si="1"/>
        <v>4.4999999999999998E-2</v>
      </c>
      <c r="D12" s="14">
        <f t="shared" si="2"/>
        <v>4.4999999999999998E-2</v>
      </c>
      <c r="E12" s="14">
        <f t="shared" si="2"/>
        <v>4.4999999999999998E-2</v>
      </c>
      <c r="F12" s="14">
        <f t="shared" si="2"/>
        <v>4.4999999999999998E-2</v>
      </c>
      <c r="G12" s="14">
        <f t="shared" si="2"/>
        <v>4.4999999999999998E-2</v>
      </c>
      <c r="H12" s="14">
        <f t="shared" si="2"/>
        <v>4.4999999999999998E-2</v>
      </c>
      <c r="I12" s="14">
        <f t="shared" si="2"/>
        <v>4.4999999999999998E-2</v>
      </c>
      <c r="J12" s="14">
        <f t="shared" si="2"/>
        <v>4.4999999999999998E-2</v>
      </c>
      <c r="K12" s="14">
        <f t="shared" si="2"/>
        <v>4.4999999999999998E-2</v>
      </c>
      <c r="L12" s="14">
        <f t="shared" si="2"/>
        <v>4.4999999999999998E-2</v>
      </c>
      <c r="M12" s="14">
        <f t="shared" si="2"/>
        <v>4.4999999999999998E-2</v>
      </c>
      <c r="N12" s="15">
        <f t="shared" si="3"/>
        <v>4.4999999999999998E-2</v>
      </c>
    </row>
    <row r="13" spans="1:14" x14ac:dyDescent="0.2">
      <c r="A13" s="3" t="s">
        <v>4</v>
      </c>
      <c r="B13" s="16">
        <v>7.3000000000000001E-3</v>
      </c>
      <c r="C13" s="17">
        <f t="shared" si="1"/>
        <v>7.3000000000000001E-3</v>
      </c>
      <c r="D13" s="17">
        <f t="shared" ref="D13:M15" si="4">$B13</f>
        <v>7.3000000000000001E-3</v>
      </c>
      <c r="E13" s="17">
        <f t="shared" si="4"/>
        <v>7.3000000000000001E-3</v>
      </c>
      <c r="F13" s="17">
        <f t="shared" si="4"/>
        <v>7.3000000000000001E-3</v>
      </c>
      <c r="G13" s="17">
        <f t="shared" si="4"/>
        <v>7.3000000000000001E-3</v>
      </c>
      <c r="H13" s="17">
        <f t="shared" si="4"/>
        <v>7.3000000000000001E-3</v>
      </c>
      <c r="I13" s="17">
        <f t="shared" si="4"/>
        <v>7.3000000000000001E-3</v>
      </c>
      <c r="J13" s="17">
        <f t="shared" si="4"/>
        <v>7.3000000000000001E-3</v>
      </c>
      <c r="K13" s="17">
        <f t="shared" si="4"/>
        <v>7.3000000000000001E-3</v>
      </c>
      <c r="L13" s="17">
        <f t="shared" si="4"/>
        <v>7.3000000000000001E-3</v>
      </c>
      <c r="M13" s="17">
        <f t="shared" si="4"/>
        <v>7.3000000000000001E-3</v>
      </c>
      <c r="N13" s="18">
        <f t="shared" si="3"/>
        <v>7.3000000000000018E-3</v>
      </c>
    </row>
    <row r="14" spans="1:14" x14ac:dyDescent="0.2">
      <c r="A14" s="10" t="s">
        <v>1</v>
      </c>
      <c r="B14" s="19">
        <v>0.95</v>
      </c>
      <c r="C14" s="20">
        <f t="shared" si="1"/>
        <v>0.95</v>
      </c>
      <c r="D14" s="20">
        <f t="shared" si="4"/>
        <v>0.95</v>
      </c>
      <c r="E14" s="20">
        <f t="shared" si="4"/>
        <v>0.95</v>
      </c>
      <c r="F14" s="20">
        <f t="shared" si="4"/>
        <v>0.95</v>
      </c>
      <c r="G14" s="20">
        <f t="shared" si="4"/>
        <v>0.95</v>
      </c>
      <c r="H14" s="20">
        <f t="shared" si="4"/>
        <v>0.95</v>
      </c>
      <c r="I14" s="20">
        <f t="shared" si="4"/>
        <v>0.95</v>
      </c>
      <c r="J14" s="20">
        <f t="shared" si="4"/>
        <v>0.95</v>
      </c>
      <c r="K14" s="20">
        <f t="shared" si="4"/>
        <v>0.95</v>
      </c>
      <c r="L14" s="20">
        <f t="shared" si="4"/>
        <v>0.95</v>
      </c>
      <c r="M14" s="20">
        <f t="shared" si="4"/>
        <v>0.95</v>
      </c>
      <c r="N14" s="15">
        <f t="shared" si="3"/>
        <v>0.95000000000000007</v>
      </c>
    </row>
    <row r="15" spans="1:14" x14ac:dyDescent="0.2">
      <c r="A15" s="21" t="s">
        <v>5</v>
      </c>
      <c r="B15" s="22">
        <v>1.6899999999999998E-2</v>
      </c>
      <c r="C15" s="23">
        <f t="shared" si="1"/>
        <v>1.6899999999999998E-2</v>
      </c>
      <c r="D15" s="23">
        <f t="shared" si="4"/>
        <v>1.6899999999999998E-2</v>
      </c>
      <c r="E15" s="23">
        <f t="shared" si="4"/>
        <v>1.6899999999999998E-2</v>
      </c>
      <c r="F15" s="23">
        <f t="shared" si="4"/>
        <v>1.6899999999999998E-2</v>
      </c>
      <c r="G15" s="23">
        <f t="shared" si="4"/>
        <v>1.6899999999999998E-2</v>
      </c>
      <c r="H15" s="23">
        <f t="shared" si="4"/>
        <v>1.6899999999999998E-2</v>
      </c>
      <c r="I15" s="23">
        <f t="shared" si="4"/>
        <v>1.6899999999999998E-2</v>
      </c>
      <c r="J15" s="23">
        <f t="shared" si="4"/>
        <v>1.6899999999999998E-2</v>
      </c>
      <c r="K15" s="23">
        <f t="shared" si="4"/>
        <v>1.6899999999999998E-2</v>
      </c>
      <c r="L15" s="23">
        <f t="shared" si="4"/>
        <v>1.6899999999999998E-2</v>
      </c>
      <c r="M15" s="23">
        <f t="shared" si="4"/>
        <v>1.6899999999999998E-2</v>
      </c>
      <c r="N15" s="24">
        <f t="shared" si="3"/>
        <v>1.6899999999999995E-2</v>
      </c>
    </row>
    <row r="16" spans="1:14" x14ac:dyDescent="0.2">
      <c r="A16" s="21" t="s">
        <v>6</v>
      </c>
      <c r="B16" s="46">
        <v>106</v>
      </c>
      <c r="C16" s="47">
        <f t="shared" si="1"/>
        <v>106</v>
      </c>
      <c r="D16" s="47">
        <f t="shared" ref="D16:M16" si="5">$B16</f>
        <v>106</v>
      </c>
      <c r="E16" s="47">
        <f t="shared" si="5"/>
        <v>106</v>
      </c>
      <c r="F16" s="47">
        <f t="shared" si="5"/>
        <v>106</v>
      </c>
      <c r="G16" s="47">
        <f t="shared" si="5"/>
        <v>106</v>
      </c>
      <c r="H16" s="47">
        <f t="shared" si="5"/>
        <v>106</v>
      </c>
      <c r="I16" s="47">
        <f t="shared" si="5"/>
        <v>106</v>
      </c>
      <c r="J16" s="47">
        <f t="shared" si="5"/>
        <v>106</v>
      </c>
      <c r="K16" s="47">
        <f t="shared" si="5"/>
        <v>106</v>
      </c>
      <c r="L16" s="47">
        <f t="shared" si="5"/>
        <v>106</v>
      </c>
      <c r="M16" s="47">
        <f t="shared" si="5"/>
        <v>106</v>
      </c>
      <c r="N16" s="25">
        <f t="shared" si="3"/>
        <v>106.00000000000001</v>
      </c>
    </row>
    <row r="17" spans="1:14" x14ac:dyDescent="0.2">
      <c r="A17" s="3" t="s">
        <v>20</v>
      </c>
      <c r="B17" s="26">
        <v>0.25</v>
      </c>
      <c r="C17" s="27">
        <f t="shared" si="1"/>
        <v>0.25</v>
      </c>
      <c r="D17" s="27">
        <f t="shared" ref="D17:M17" si="6">$B17</f>
        <v>0.25</v>
      </c>
      <c r="E17" s="27">
        <f t="shared" si="6"/>
        <v>0.25</v>
      </c>
      <c r="F17" s="27">
        <f t="shared" si="6"/>
        <v>0.25</v>
      </c>
      <c r="G17" s="27">
        <f t="shared" si="6"/>
        <v>0.25</v>
      </c>
      <c r="H17" s="27">
        <f t="shared" si="6"/>
        <v>0.25</v>
      </c>
      <c r="I17" s="27">
        <f t="shared" si="6"/>
        <v>0.25</v>
      </c>
      <c r="J17" s="27">
        <f t="shared" si="6"/>
        <v>0.25</v>
      </c>
      <c r="K17" s="27">
        <f t="shared" si="6"/>
        <v>0.25</v>
      </c>
      <c r="L17" s="27">
        <f t="shared" si="6"/>
        <v>0.25</v>
      </c>
      <c r="M17" s="27">
        <f t="shared" si="6"/>
        <v>0.25</v>
      </c>
      <c r="N17" s="40">
        <f t="shared" si="3"/>
        <v>0.25</v>
      </c>
    </row>
    <row r="18" spans="1:14" x14ac:dyDescent="0.2">
      <c r="A18" s="6" t="s">
        <v>13</v>
      </c>
      <c r="B18" s="28">
        <v>0.04</v>
      </c>
      <c r="C18" s="29">
        <f t="shared" ref="C18:M19" si="7">$B18</f>
        <v>0.04</v>
      </c>
      <c r="D18" s="29">
        <f t="shared" si="7"/>
        <v>0.04</v>
      </c>
      <c r="E18" s="29">
        <f t="shared" si="7"/>
        <v>0.04</v>
      </c>
      <c r="F18" s="29">
        <f t="shared" si="7"/>
        <v>0.04</v>
      </c>
      <c r="G18" s="29">
        <f t="shared" si="7"/>
        <v>0.04</v>
      </c>
      <c r="H18" s="29">
        <f t="shared" si="7"/>
        <v>0.04</v>
      </c>
      <c r="I18" s="29">
        <f t="shared" si="7"/>
        <v>0.04</v>
      </c>
      <c r="J18" s="29">
        <f t="shared" si="7"/>
        <v>0.04</v>
      </c>
      <c r="K18" s="29">
        <f t="shared" si="7"/>
        <v>0.04</v>
      </c>
      <c r="L18" s="29">
        <f t="shared" si="7"/>
        <v>0.04</v>
      </c>
      <c r="M18" s="29">
        <f t="shared" si="7"/>
        <v>0.04</v>
      </c>
      <c r="N18" s="9">
        <f t="shared" si="3"/>
        <v>4.0000000000000008E-2</v>
      </c>
    </row>
    <row r="19" spans="1:14" x14ac:dyDescent="0.2">
      <c r="A19" s="10" t="s">
        <v>14</v>
      </c>
      <c r="B19" s="19">
        <f>B17*B18</f>
        <v>0.01</v>
      </c>
      <c r="C19" s="20">
        <f t="shared" si="7"/>
        <v>0.01</v>
      </c>
      <c r="D19" s="20">
        <f t="shared" si="7"/>
        <v>0.01</v>
      </c>
      <c r="E19" s="20">
        <f t="shared" si="7"/>
        <v>0.01</v>
      </c>
      <c r="F19" s="20">
        <f t="shared" si="7"/>
        <v>0.01</v>
      </c>
      <c r="G19" s="20">
        <f t="shared" si="7"/>
        <v>0.01</v>
      </c>
      <c r="H19" s="20">
        <f t="shared" si="7"/>
        <v>0.01</v>
      </c>
      <c r="I19" s="20">
        <f t="shared" si="7"/>
        <v>0.01</v>
      </c>
      <c r="J19" s="20">
        <f t="shared" si="7"/>
        <v>0.01</v>
      </c>
      <c r="K19" s="20">
        <f t="shared" si="7"/>
        <v>0.01</v>
      </c>
      <c r="L19" s="20">
        <f t="shared" si="7"/>
        <v>0.01</v>
      </c>
      <c r="M19" s="20">
        <f t="shared" si="7"/>
        <v>0.01</v>
      </c>
      <c r="N19" s="30">
        <f t="shared" si="3"/>
        <v>1.0000000000000002E-2</v>
      </c>
    </row>
    <row r="20" spans="1:14" x14ac:dyDescent="0.2">
      <c r="A20" s="21" t="s">
        <v>12</v>
      </c>
      <c r="B20" s="31">
        <v>2.5000000000000001E-2</v>
      </c>
      <c r="C20" s="23">
        <f>$B20</f>
        <v>2.5000000000000001E-2</v>
      </c>
      <c r="D20" s="23">
        <f t="shared" ref="D20:M20" si="8">$B20</f>
        <v>2.5000000000000001E-2</v>
      </c>
      <c r="E20" s="23">
        <f t="shared" si="8"/>
        <v>2.5000000000000001E-2</v>
      </c>
      <c r="F20" s="23">
        <f t="shared" si="8"/>
        <v>2.5000000000000001E-2</v>
      </c>
      <c r="G20" s="23">
        <f t="shared" si="8"/>
        <v>2.5000000000000001E-2</v>
      </c>
      <c r="H20" s="23">
        <f t="shared" si="8"/>
        <v>2.5000000000000001E-2</v>
      </c>
      <c r="I20" s="23">
        <f t="shared" si="8"/>
        <v>2.5000000000000001E-2</v>
      </c>
      <c r="J20" s="23">
        <f t="shared" si="8"/>
        <v>2.5000000000000001E-2</v>
      </c>
      <c r="K20" s="23">
        <f t="shared" si="8"/>
        <v>2.5000000000000001E-2</v>
      </c>
      <c r="L20" s="23">
        <f t="shared" si="8"/>
        <v>2.5000000000000001E-2</v>
      </c>
      <c r="M20" s="23">
        <f t="shared" si="8"/>
        <v>2.5000000000000001E-2</v>
      </c>
      <c r="N20" s="24">
        <f t="shared" si="3"/>
        <v>2.5000000000000001E-2</v>
      </c>
    </row>
    <row r="21" spans="1:14" x14ac:dyDescent="0.2">
      <c r="B21" s="50" t="s">
        <v>21</v>
      </c>
      <c r="C21" s="51"/>
      <c r="D21" s="51"/>
      <c r="E21" s="51"/>
      <c r="F21" s="51"/>
      <c r="G21" s="51"/>
      <c r="H21" s="51"/>
      <c r="I21" s="51"/>
      <c r="J21" s="51"/>
      <c r="K21" s="51"/>
      <c r="L21" s="51"/>
      <c r="M21" s="52"/>
      <c r="N21" s="32" t="s">
        <v>16</v>
      </c>
    </row>
    <row r="22" spans="1:14" x14ac:dyDescent="0.2">
      <c r="A22" s="3" t="s">
        <v>0</v>
      </c>
      <c r="B22" s="42">
        <f t="shared" ref="B22:M22" si="9">-B11</f>
        <v>-100</v>
      </c>
      <c r="C22" s="42">
        <f t="shared" si="9"/>
        <v>-100</v>
      </c>
      <c r="D22" s="42">
        <f t="shared" si="9"/>
        <v>-100</v>
      </c>
      <c r="E22" s="42">
        <f t="shared" si="9"/>
        <v>-100</v>
      </c>
      <c r="F22" s="42">
        <f t="shared" si="9"/>
        <v>-100</v>
      </c>
      <c r="G22" s="42">
        <f t="shared" si="9"/>
        <v>-100</v>
      </c>
      <c r="H22" s="42">
        <f t="shared" si="9"/>
        <v>-100</v>
      </c>
      <c r="I22" s="42">
        <f t="shared" si="9"/>
        <v>-100</v>
      </c>
      <c r="J22" s="42">
        <f t="shared" si="9"/>
        <v>-100</v>
      </c>
      <c r="K22" s="42">
        <f t="shared" si="9"/>
        <v>-100</v>
      </c>
      <c r="L22" s="42">
        <f t="shared" si="9"/>
        <v>-100</v>
      </c>
      <c r="M22" s="42">
        <f t="shared" si="9"/>
        <v>-100</v>
      </c>
      <c r="N22" s="41">
        <f t="shared" ref="N22:N31" si="10">SUMPRODUCT($B$10:$M$10,B22:M22)</f>
        <v>-100</v>
      </c>
    </row>
    <row r="23" spans="1:14" x14ac:dyDescent="0.2">
      <c r="A23" s="6" t="s">
        <v>7</v>
      </c>
      <c r="B23" s="33">
        <f t="shared" ref="B23:M23" si="11">-((B$8+B$9)/12)*B$13*(B$11*B$14)</f>
        <v>-5.7791666666666665E-2</v>
      </c>
      <c r="C23" s="33">
        <f t="shared" si="11"/>
        <v>-0.11558333333333333</v>
      </c>
      <c r="D23" s="33">
        <f t="shared" si="11"/>
        <v>-0.173375</v>
      </c>
      <c r="E23" s="33">
        <f t="shared" si="11"/>
        <v>-0.23116666666666666</v>
      </c>
      <c r="F23" s="33">
        <f t="shared" si="11"/>
        <v>-0.28895833333333337</v>
      </c>
      <c r="G23" s="33">
        <f t="shared" si="11"/>
        <v>-0.34675</v>
      </c>
      <c r="H23" s="33">
        <f t="shared" si="11"/>
        <v>-0.40454166666666669</v>
      </c>
      <c r="I23" s="33">
        <f t="shared" si="11"/>
        <v>-0.46233333333333332</v>
      </c>
      <c r="J23" s="33">
        <f t="shared" si="11"/>
        <v>-0.52012499999999995</v>
      </c>
      <c r="K23" s="33">
        <f t="shared" si="11"/>
        <v>-0.57791666666666675</v>
      </c>
      <c r="L23" s="33">
        <f t="shared" si="11"/>
        <v>-0.63570833333333332</v>
      </c>
      <c r="M23" s="33">
        <f t="shared" si="11"/>
        <v>-0.69350000000000001</v>
      </c>
      <c r="N23" s="9">
        <f t="shared" si="10"/>
        <v>-0.22105312500000004</v>
      </c>
    </row>
    <row r="24" spans="1:14" x14ac:dyDescent="0.2">
      <c r="A24" s="6" t="s">
        <v>8</v>
      </c>
      <c r="B24" s="34">
        <f t="shared" ref="B24:M24" si="12">-((B$8+B$9)/12)*B$15*(B$11)</f>
        <v>-0.14083333333333331</v>
      </c>
      <c r="C24" s="34">
        <f t="shared" si="12"/>
        <v>-0.28166666666666662</v>
      </c>
      <c r="D24" s="34">
        <f t="shared" si="12"/>
        <v>-0.42249999999999999</v>
      </c>
      <c r="E24" s="34">
        <f t="shared" si="12"/>
        <v>-0.56333333333333324</v>
      </c>
      <c r="F24" s="34">
        <f t="shared" si="12"/>
        <v>-0.70416666666666661</v>
      </c>
      <c r="G24" s="34">
        <f t="shared" si="12"/>
        <v>-0.84499999999999997</v>
      </c>
      <c r="H24" s="34">
        <f t="shared" si="12"/>
        <v>-0.98583333333333334</v>
      </c>
      <c r="I24" s="34">
        <f t="shared" si="12"/>
        <v>-1.1266666666666665</v>
      </c>
      <c r="J24" s="34">
        <f t="shared" si="12"/>
        <v>-1.2674999999999998</v>
      </c>
      <c r="K24" s="34">
        <f t="shared" si="12"/>
        <v>-1.4083333333333332</v>
      </c>
      <c r="L24" s="34">
        <f t="shared" si="12"/>
        <v>-1.5491666666666664</v>
      </c>
      <c r="M24" s="34">
        <f t="shared" si="12"/>
        <v>-1.69</v>
      </c>
      <c r="N24" s="9">
        <f t="shared" si="10"/>
        <v>-0.53868749999999987</v>
      </c>
    </row>
    <row r="25" spans="1:14" x14ac:dyDescent="0.2">
      <c r="A25" s="6" t="s">
        <v>22</v>
      </c>
      <c r="B25" s="33">
        <f t="shared" ref="B25:M25" si="13">(B$9/12)*(B$12*B$11)</f>
        <v>0</v>
      </c>
      <c r="C25" s="33">
        <f t="shared" si="13"/>
        <v>0</v>
      </c>
      <c r="D25" s="33">
        <f t="shared" si="13"/>
        <v>0</v>
      </c>
      <c r="E25" s="33">
        <f t="shared" si="13"/>
        <v>0</v>
      </c>
      <c r="F25" s="33">
        <f t="shared" si="13"/>
        <v>0</v>
      </c>
      <c r="G25" s="33">
        <f t="shared" si="13"/>
        <v>0</v>
      </c>
      <c r="H25" s="33">
        <f t="shared" si="13"/>
        <v>0</v>
      </c>
      <c r="I25" s="33">
        <f t="shared" si="13"/>
        <v>0</v>
      </c>
      <c r="J25" s="33">
        <f t="shared" si="13"/>
        <v>0</v>
      </c>
      <c r="K25" s="33">
        <f t="shared" si="13"/>
        <v>0</v>
      </c>
      <c r="L25" s="33">
        <f t="shared" si="13"/>
        <v>0</v>
      </c>
      <c r="M25" s="33">
        <f t="shared" si="13"/>
        <v>0</v>
      </c>
      <c r="N25" s="9">
        <f t="shared" si="10"/>
        <v>0</v>
      </c>
    </row>
    <row r="26" spans="1:14" x14ac:dyDescent="0.2">
      <c r="A26" s="6" t="s">
        <v>9</v>
      </c>
      <c r="B26" s="43">
        <f t="shared" ref="B26:M26" si="14">B$11*(B$16/100)</f>
        <v>106</v>
      </c>
      <c r="C26" s="43">
        <f t="shared" si="14"/>
        <v>106</v>
      </c>
      <c r="D26" s="43">
        <f t="shared" si="14"/>
        <v>106</v>
      </c>
      <c r="E26" s="43">
        <f t="shared" si="14"/>
        <v>106</v>
      </c>
      <c r="F26" s="43">
        <f t="shared" si="14"/>
        <v>106</v>
      </c>
      <c r="G26" s="43">
        <f t="shared" si="14"/>
        <v>106</v>
      </c>
      <c r="H26" s="43">
        <f t="shared" si="14"/>
        <v>106</v>
      </c>
      <c r="I26" s="43">
        <f t="shared" si="14"/>
        <v>106</v>
      </c>
      <c r="J26" s="43">
        <f t="shared" si="14"/>
        <v>106</v>
      </c>
      <c r="K26" s="43">
        <f t="shared" si="14"/>
        <v>106</v>
      </c>
      <c r="L26" s="43">
        <f t="shared" si="14"/>
        <v>106</v>
      </c>
      <c r="M26" s="43">
        <f t="shared" si="14"/>
        <v>106</v>
      </c>
      <c r="N26" s="44">
        <f t="shared" si="10"/>
        <v>106.00000000000001</v>
      </c>
    </row>
    <row r="27" spans="1:14" x14ac:dyDescent="0.2">
      <c r="A27" s="6" t="s">
        <v>15</v>
      </c>
      <c r="B27" s="34">
        <f t="shared" ref="B27:M27" si="15">-(B$19*B$11)</f>
        <v>-1</v>
      </c>
      <c r="C27" s="34">
        <f t="shared" si="15"/>
        <v>-1</v>
      </c>
      <c r="D27" s="34">
        <f t="shared" si="15"/>
        <v>-1</v>
      </c>
      <c r="E27" s="34">
        <f t="shared" si="15"/>
        <v>-1</v>
      </c>
      <c r="F27" s="34">
        <f t="shared" si="15"/>
        <v>-1</v>
      </c>
      <c r="G27" s="34">
        <f t="shared" si="15"/>
        <v>-1</v>
      </c>
      <c r="H27" s="34">
        <f t="shared" si="15"/>
        <v>-1</v>
      </c>
      <c r="I27" s="34">
        <f t="shared" si="15"/>
        <v>-1</v>
      </c>
      <c r="J27" s="34">
        <f t="shared" si="15"/>
        <v>-1</v>
      </c>
      <c r="K27" s="34">
        <f t="shared" si="15"/>
        <v>-1</v>
      </c>
      <c r="L27" s="34">
        <f t="shared" si="15"/>
        <v>-1</v>
      </c>
      <c r="M27" s="34">
        <f t="shared" si="15"/>
        <v>-1</v>
      </c>
      <c r="N27" s="9">
        <f t="shared" si="10"/>
        <v>-1</v>
      </c>
    </row>
    <row r="28" spans="1:14" x14ac:dyDescent="0.2">
      <c r="A28" s="10" t="s">
        <v>12</v>
      </c>
      <c r="B28" s="35">
        <f t="shared" ref="B28:M28" si="16">-((B$8+B$9)/12)*B$20*B$11</f>
        <v>-0.20833333333333334</v>
      </c>
      <c r="C28" s="35">
        <f t="shared" si="16"/>
        <v>-0.41666666666666669</v>
      </c>
      <c r="D28" s="35">
        <f t="shared" si="16"/>
        <v>-0.625</v>
      </c>
      <c r="E28" s="35">
        <f t="shared" si="16"/>
        <v>-0.83333333333333337</v>
      </c>
      <c r="F28" s="35">
        <f t="shared" si="16"/>
        <v>-1.0416666666666667</v>
      </c>
      <c r="G28" s="35">
        <f t="shared" si="16"/>
        <v>-1.25</v>
      </c>
      <c r="H28" s="35">
        <f t="shared" si="16"/>
        <v>-1.4583333333333335</v>
      </c>
      <c r="I28" s="35">
        <f t="shared" si="16"/>
        <v>-1.6666666666666667</v>
      </c>
      <c r="J28" s="35">
        <f t="shared" si="16"/>
        <v>-1.8750000000000002</v>
      </c>
      <c r="K28" s="35">
        <f t="shared" si="16"/>
        <v>-2.0833333333333335</v>
      </c>
      <c r="L28" s="35">
        <f t="shared" si="16"/>
        <v>-2.291666666666667</v>
      </c>
      <c r="M28" s="35">
        <f t="shared" si="16"/>
        <v>-2.5</v>
      </c>
      <c r="N28" s="30">
        <f t="shared" si="10"/>
        <v>-0.796875</v>
      </c>
    </row>
    <row r="29" spans="1:14" x14ac:dyDescent="0.2">
      <c r="A29" s="3" t="s">
        <v>10</v>
      </c>
      <c r="B29" s="36">
        <f>SUM(B$22:B$28)</f>
        <v>4.5930416666666742</v>
      </c>
      <c r="C29" s="36">
        <f t="shared" ref="C29:M29" si="17">SUM(C$22:C$28)</f>
        <v>4.1860833333333334</v>
      </c>
      <c r="D29" s="36">
        <f t="shared" si="17"/>
        <v>3.7791250000000076</v>
      </c>
      <c r="E29" s="36">
        <f t="shared" si="17"/>
        <v>3.3721666666666672</v>
      </c>
      <c r="F29" s="36">
        <f t="shared" si="17"/>
        <v>2.965208333333341</v>
      </c>
      <c r="G29" s="36">
        <f t="shared" si="17"/>
        <v>2.558250000000001</v>
      </c>
      <c r="H29" s="36">
        <f t="shared" si="17"/>
        <v>2.1512916666666748</v>
      </c>
      <c r="I29" s="36">
        <f t="shared" si="17"/>
        <v>1.7443333333333346</v>
      </c>
      <c r="J29" s="36">
        <f t="shared" si="17"/>
        <v>1.3373750000000084</v>
      </c>
      <c r="K29" s="36">
        <f t="shared" si="17"/>
        <v>0.93041666666666822</v>
      </c>
      <c r="L29" s="36">
        <f t="shared" si="17"/>
        <v>0.52345833333334202</v>
      </c>
      <c r="M29" s="36">
        <f t="shared" si="17"/>
        <v>0.11650000000000205</v>
      </c>
      <c r="N29" s="5">
        <f t="shared" si="10"/>
        <v>3.4433843750000039</v>
      </c>
    </row>
    <row r="30" spans="1:14" ht="13.5" thickBot="1" x14ac:dyDescent="0.25">
      <c r="A30" s="6" t="s">
        <v>11</v>
      </c>
      <c r="B30" s="34">
        <f t="shared" ref="B30:M30" si="18">B$11*(1-B$14)</f>
        <v>5.0000000000000044</v>
      </c>
      <c r="C30" s="34">
        <f t="shared" si="18"/>
        <v>5.0000000000000044</v>
      </c>
      <c r="D30" s="34">
        <f t="shared" si="18"/>
        <v>5.0000000000000044</v>
      </c>
      <c r="E30" s="34">
        <f t="shared" si="18"/>
        <v>5.0000000000000044</v>
      </c>
      <c r="F30" s="34">
        <f t="shared" si="18"/>
        <v>5.0000000000000044</v>
      </c>
      <c r="G30" s="34">
        <f t="shared" si="18"/>
        <v>5.0000000000000044</v>
      </c>
      <c r="H30" s="34">
        <f t="shared" si="18"/>
        <v>5.0000000000000044</v>
      </c>
      <c r="I30" s="34">
        <f t="shared" si="18"/>
        <v>5.0000000000000044</v>
      </c>
      <c r="J30" s="34">
        <f t="shared" si="18"/>
        <v>5.0000000000000044</v>
      </c>
      <c r="K30" s="34">
        <f t="shared" si="18"/>
        <v>5.0000000000000044</v>
      </c>
      <c r="L30" s="34">
        <f t="shared" si="18"/>
        <v>5.0000000000000044</v>
      </c>
      <c r="M30" s="34">
        <f t="shared" si="18"/>
        <v>5.0000000000000044</v>
      </c>
      <c r="N30" s="9">
        <f t="shared" si="10"/>
        <v>5.0000000000000036</v>
      </c>
    </row>
    <row r="31" spans="1:14" x14ac:dyDescent="0.2">
      <c r="A31" s="10" t="s">
        <v>17</v>
      </c>
      <c r="B31" s="37">
        <f t="shared" ref="B31:M31" si="19">((12/(B$8+B$9))*B$29)/B$30</f>
        <v>11.023300000000008</v>
      </c>
      <c r="C31" s="37">
        <f t="shared" si="19"/>
        <v>5.0232999999999963</v>
      </c>
      <c r="D31" s="37">
        <f t="shared" si="19"/>
        <v>3.0233000000000034</v>
      </c>
      <c r="E31" s="37">
        <f t="shared" si="19"/>
        <v>2.0232999999999985</v>
      </c>
      <c r="F31" s="37">
        <f t="shared" si="19"/>
        <v>1.4233000000000025</v>
      </c>
      <c r="G31" s="37">
        <f t="shared" si="19"/>
        <v>1.0232999999999994</v>
      </c>
      <c r="H31" s="37">
        <f t="shared" si="19"/>
        <v>0.7375857142857164</v>
      </c>
      <c r="I31" s="37">
        <f t="shared" si="19"/>
        <v>0.52329999999999999</v>
      </c>
      <c r="J31" s="37">
        <f t="shared" si="19"/>
        <v>0.35663333333333525</v>
      </c>
      <c r="K31" s="37">
        <f t="shared" si="19"/>
        <v>0.22330000000000017</v>
      </c>
      <c r="L31" s="37">
        <f t="shared" si="19"/>
        <v>0.11420909090909269</v>
      </c>
      <c r="M31" s="37">
        <f t="shared" si="19"/>
        <v>2.330000000000039E-2</v>
      </c>
      <c r="N31" s="38">
        <f t="shared" si="10"/>
        <v>3.3898476190476203</v>
      </c>
    </row>
  </sheetData>
  <mergeCells count="2">
    <mergeCell ref="B7:M7"/>
    <mergeCell ref="B21:M21"/>
  </mergeCells>
  <pageMargins left="0.7" right="0.7" top="0.75" bottom="0.75" header="0.3" footer="0.3"/>
  <pageSetup orientation="portrait" horizontalDpi="1200" verticalDpi="1200" r:id="rId1"/>
  <ignoredErrors>
    <ignoredError sqref="N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8" sqref="S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Ginnie Mae Buyout Analysis</vt:lpstr>
      <vt:lpstr>Disclaimer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Landy</dc:creator>
  <cp:lastModifiedBy>Steven W. Abrahams</cp:lastModifiedBy>
  <dcterms:created xsi:type="dcterms:W3CDTF">2020-06-30T19:28:35Z</dcterms:created>
  <dcterms:modified xsi:type="dcterms:W3CDTF">2020-07-10T20:24:55Z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{405F11B9-CBD1-4728-AB12-F42DCD8AE413}</vt:lpwstr>
  </property>
</Properties>
</file>